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1032" windowWidth="15600" windowHeight="6336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P18" i="7" l="1"/>
  <c r="O18" i="7"/>
  <c r="N18" i="7"/>
  <c r="M18" i="7"/>
  <c r="L18" i="7"/>
  <c r="K18" i="7"/>
  <c r="J18" i="7"/>
  <c r="I18" i="7"/>
  <c r="H18" i="7"/>
  <c r="F18" i="7"/>
  <c r="P17" i="7"/>
  <c r="O17" i="7"/>
  <c r="N17" i="7"/>
  <c r="M17" i="7"/>
  <c r="L17" i="7"/>
  <c r="K17" i="7"/>
  <c r="J17" i="7"/>
  <c r="I17" i="7"/>
  <c r="H17" i="7"/>
  <c r="F17" i="7"/>
  <c r="P16" i="7"/>
  <c r="O16" i="7"/>
  <c r="N16" i="7"/>
  <c r="M16" i="7"/>
  <c r="L16" i="7"/>
  <c r="K16" i="7"/>
  <c r="J16" i="7"/>
  <c r="I16" i="7"/>
  <c r="H16" i="7"/>
  <c r="F16" i="7"/>
  <c r="P15" i="7"/>
  <c r="O15" i="7"/>
  <c r="N15" i="7"/>
  <c r="M15" i="7"/>
  <c r="L15" i="7"/>
  <c r="K15" i="7"/>
  <c r="J15" i="7"/>
  <c r="I15" i="7"/>
  <c r="H15" i="7"/>
  <c r="F15" i="7"/>
  <c r="P14" i="7"/>
  <c r="O14" i="7"/>
  <c r="N14" i="7"/>
  <c r="M14" i="7"/>
  <c r="L14" i="7"/>
  <c r="K14" i="7"/>
  <c r="J14" i="7"/>
  <c r="I14" i="7"/>
  <c r="H14" i="7"/>
  <c r="F14" i="7"/>
  <c r="P13" i="7"/>
  <c r="O13" i="7"/>
  <c r="N13" i="7"/>
  <c r="M13" i="7"/>
  <c r="L13" i="7"/>
  <c r="K13" i="7"/>
  <c r="J13" i="7"/>
  <c r="I13" i="7"/>
  <c r="H13" i="7"/>
  <c r="F13" i="7"/>
  <c r="P12" i="7"/>
  <c r="O12" i="7"/>
  <c r="N12" i="7"/>
  <c r="M12" i="7"/>
  <c r="L12" i="7"/>
  <c r="K12" i="7"/>
  <c r="J12" i="7"/>
  <c r="I12" i="7"/>
  <c r="H12" i="7"/>
  <c r="F12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M63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I53" i="18" l="1"/>
  <c r="N53" i="18"/>
  <c r="E53" i="18"/>
  <c r="J53" i="18"/>
  <c r="F63" i="18"/>
  <c r="K63" i="18"/>
  <c r="D22" i="18"/>
  <c r="G53" i="18"/>
  <c r="D56" i="18" s="1"/>
  <c r="J55" i="18" s="1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E31" i="18" l="1"/>
  <c r="D66" i="18"/>
  <c r="K65" i="18" s="1"/>
  <c r="L65" i="18"/>
  <c r="M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I65" i="18" l="1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12" i="7"/>
  <c r="Q16" i="7"/>
  <c r="Q14" i="7"/>
  <c r="Q17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<sst xmlns="http://schemas.openxmlformats.org/spreadsheetml/2006/main" count="1360" uniqueCount="670">
  <si>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</si>
  <si>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</si>
  <si>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</si>
  <si>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</si>
  <si>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</si>
  <si>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</si>
  <si>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</si>
  <si>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</si>
  <si>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</si>
  <si>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</si>
  <si>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</si>
  <si>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</si>
  <si>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</si>
  <si>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</si>
  <si>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</si>
  <si>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</si>
  <si>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</si>
  <si>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</si>
  <si>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</si>
  <si>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</si>
  <si>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</si>
  <si>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</si>
  <si>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</si>
  <si>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</si>
  <si>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</si>
  <si>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</si>
  <si>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</si>
  <si>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</si>
  <si>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</si>
  <si>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</si>
  <si>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</si>
  <si>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</si>
  <si>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</si>
  <si>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</si>
  <si>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</si>
  <si>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</si>
  <si>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</si>
  <si>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</si>
  <si>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</si>
  <si>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</si>
  <si>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</si>
  <si>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</si>
  <si>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</si>
  <si>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</si>
  <si>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</si>
  <si>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</si>
  <si>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</si>
  <si>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</si>
  <si>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</si>
  <si>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</si>
  <si>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</si>
  <si>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</si>
  <si>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</si>
  <si>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</si>
  <si>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</si>
  <si>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</si>
  <si>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</si>
  <si>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</si>
  <si>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</si>
  <si>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</si>
  <si>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</si>
  <si>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</si>
  <si>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</si>
  <si>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</si>
  <si>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</si>
  <si>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</si>
  <si>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</si>
  <si>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</si>
  <si>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</si>
  <si>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</si>
  <si>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</si>
  <si>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</si>
  <si>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</si>
  <si>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</si>
  <si>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</si>
  <si>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</si>
  <si>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</si>
  <si>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</si>
  <si>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</si>
  <si>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</si>
  <si>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</si>
  <si>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</si>
  <si>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</si>
  <si>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</si>
  <si>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</si>
  <si>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</si>
  <si>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</si>
  <si>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</si>
  <si>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</si>
  <si>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</si>
  <si>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</si>
  <si>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</si>
  <si>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</si>
  <si>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</si>
  <si>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</si>
  <si>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</si>
  <si>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</si>
  <si>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</si>
  <si>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</si>
  <si>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</si>
  <si>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</si>
  <si>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</si>
  <si>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</si>
  <si>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</si>
  <si>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</si>
  <si>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</si>
  <si>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</si>
  <si>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</si>
  <si>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</si>
  <si>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</si>
  <si>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</si>
  <si>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</si>
  <si>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</si>
  <si>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</si>
  <si>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</si>
  <si>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</si>
  <si>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</si>
  <si>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</si>
  <si>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</si>
  <si>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</si>
  <si>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</si>
  <si>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</si>
  <si>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</si>
  <si>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</si>
  <si>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</si>
  <si>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</si>
  <si>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</si>
  <si>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</si>
  <si>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</si>
  <si>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</si>
  <si>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</si>
  <si>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</si>
  <si>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</si>
  <si>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</si>
  <si>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</si>
  <si>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</si>
  <si>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</si>
  <si>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</si>
  <si>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</si>
  <si>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</si>
  <si>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</si>
  <si>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</si>
  <si>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</si>
  <si>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</si>
  <si>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</si>
  <si>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</si>
  <si>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</si>
  <si>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</si>
  <si>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</si>
  <si>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</si>
  <si>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</si>
  <si>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</si>
  <si>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</si>
  <si>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</si>
  <si>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</si>
  <si>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</si>
  <si>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</si>
  <si>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</si>
  <si>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</si>
  <si>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</si>
  <si>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</si>
  <si>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</si>
  <si>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</si>
  <si>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</si>
  <si>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</si>
  <si>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</si>
  <si>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</si>
  <si>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</si>
  <si>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</si>
  <si>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</si>
  <si>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</si>
  <si>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</si>
  <si>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</si>
  <si>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</si>
  <si>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</si>
  <si>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</si>
  <si>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</si>
  <si>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</si>
  <si>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</si>
  <si>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</si>
  <si>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</si>
  <si>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</si>
  <si>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</si>
  <si>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</si>
  <si>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</si>
  <si>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</si>
  <si>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</si>
  <si>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</si>
  <si>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</si>
  <si>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</si>
  <si>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</si>
  <si>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</si>
  <si>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</si>
  <si>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</si>
  <si>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</si>
  <si>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</si>
  <si>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</si>
  <si>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</si>
  <si>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</si>
  <si>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</si>
  <si>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</si>
  <si>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</si>
  <si>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</si>
  <si>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</si>
  <si>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</si>
  <si>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</si>
  <si>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</si>
  <si>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</si>
  <si>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</si>
  <si>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</si>
  <si>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</si>
  <si>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</si>
  <si>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</si>
  <si>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</si>
  <si>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</si>
  <si>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</si>
  <si>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</si>
  <si>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</si>
  <si>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</si>
  <si>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</si>
  <si>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</si>
  <si>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</si>
  <si>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</si>
  <si>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</si>
  <si>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</si>
  <si>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</si>
  <si>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</si>
  <si>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</si>
  <si>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</si>
  <si>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</si>
  <si>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</si>
  <si>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</si>
  <si>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</si>
  <si>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</si>
  <si>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</si>
  <si>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</si>
  <si>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</si>
  <si>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</si>
  <si>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</si>
  <si>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</si>
  <si>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</si>
  <si>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</si>
  <si>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</si>
  <si>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</si>
  <si>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</si>
  <si>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</si>
  <si>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</si>
  <si>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</si>
  <si>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</si>
  <si>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</si>
  <si>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</si>
  <si>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</si>
  <si>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</si>
  <si>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</si>
  <si>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</si>
  <si>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</si>
  <si>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</si>
  <si>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</si>
  <si>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</si>
  <si>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</si>
  <si>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</si>
  <si>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</si>
  <si>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</si>
  <si>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</si>
  <si>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</si>
  <si>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</si>
  <si>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</si>
  <si>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</si>
  <si>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</si>
  <si>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</si>
  <si>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</si>
  <si>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</si>
  <si>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</si>
  <si>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</si>
  <si>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</si>
  <si>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</si>
  <si>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</si>
  <si>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</si>
  <si>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</si>
  <si>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</si>
  <si>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</si>
  <si>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</si>
  <si>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</si>
  <si>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</si>
  <si>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</si>
  <si>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</si>
  <si>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</si>
  <si>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</si>
  <si>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</si>
  <si>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</si>
  <si>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</si>
  <si>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</si>
  <si>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</si>
  <si>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</si>
  <si>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</si>
  <si>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</si>
  <si>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</si>
  <si>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</si>
  <si>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</si>
  <si>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</si>
  <si>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</si>
  <si>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</si>
  <si>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</si>
  <si>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</si>
  <si>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</si>
  <si>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</si>
  <si>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</si>
  <si>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</si>
  <si>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</si>
  <si>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</si>
  <si>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</si>
  <si>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</si>
  <si>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</si>
  <si>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</si>
  <si>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</si>
  <si>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</si>
  <si>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</si>
  <si>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</si>
  <si>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</si>
  <si>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</si>
  <si>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</si>
  <si>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</si>
  <si>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</si>
  <si>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</si>
  <si>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</si>
  <si>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</si>
  <si>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</si>
  <si>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</si>
  <si>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</si>
  <si>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</si>
  <si>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</si>
  <si>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</si>
  <si>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</si>
  <si>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</si>
  <si>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</si>
  <si>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</si>
  <si>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</si>
  <si>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</si>
  <si>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</si>
  <si>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</si>
  <si>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</si>
  <si>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</si>
  <si>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</si>
  <si>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</si>
  <si>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</si>
  <si>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</si>
  <si>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</si>
  <si>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</si>
  <si>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</si>
  <si>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</si>
  <si>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</si>
  <si>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</si>
  <si>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</si>
  <si>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</si>
  <si>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</si>
  <si>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</si>
  <si>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</si>
  <si>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</si>
  <si>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</si>
  <si>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</si>
  <si>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</si>
  <si>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</si>
  <si>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</si>
  <si>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</si>
  <si>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</si>
  <si>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</si>
  <si>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</si>
  <si>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</si>
  <si>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</si>
  <si>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</si>
  <si>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</si>
  <si>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</si>
  <si>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</si>
  <si>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</si>
  <si>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</si>
  <si>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</si>
  <si>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</si>
  <si>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</si>
  <si>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</si>
  <si>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</si>
  <si>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</si>
  <si>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</si>
  <si>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</si>
  <si>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</si>
  <si>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</si>
  <si>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</si>
  <si>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</si>
  <si>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</si>
  <si>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</si>
  <si>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</si>
  <si>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</si>
  <si>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</si>
  <si>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</si>
  <si>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</si>
  <si>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</si>
  <si>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</si>
  <si>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</si>
  <si>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</si>
  <si>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</si>
  <si>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</si>
  <si>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</si>
  <si>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</si>
  <si>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</si>
  <si>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</si>
  <si>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</si>
  <si>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</si>
  <si>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</si>
  <si>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</si>
  <si>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</si>
  <si>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</si>
  <si>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</si>
  <si>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</si>
  <si>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</si>
  <si>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</si>
  <si>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</si>
  <si>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</si>
  <si>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</si>
  <si>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</si>
  <si>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</si>
  <si>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</si>
  <si>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</si>
  <si>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</si>
  <si>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</si>
  <si>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</si>
  <si>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</si>
  <si>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</si>
  <si>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</si>
  <si>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</si>
  <si>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</si>
  <si>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</si>
  <si>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</si>
  <si>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</si>
  <si>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</si>
  <si>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</si>
  <si>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</si>
  <si>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</si>
  <si>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</si>
  <si>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</si>
  <si>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</si>
  <si>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</si>
  <si>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</si>
  <si>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</si>
  <si>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</si>
  <si>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</si>
  <si>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</si>
  <si>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</si>
  <si>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</si>
  <si>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</si>
  <si>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</si>
  <si>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</si>
  <si>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</si>
  <si>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</si>
  <si>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</si>
  <si>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</si>
  <si>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</si>
  <si>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</si>
  <si>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</si>
  <si>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</si>
  <si>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</si>
  <si>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</si>
  <si>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</si>
  <si>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</si>
  <si>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</si>
  <si>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</si>
  <si>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</si>
  <si>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</si>
  <si>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</si>
  <si>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</si>
  <si>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</si>
  <si>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</si>
  <si>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</si>
  <si>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</si>
  <si>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</si>
  <si>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</si>
  <si>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</si>
  <si>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</si>
  <si>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</si>
  <si>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</si>
  <si>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</si>
  <si>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</si>
  <si>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</si>
  <si>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</si>
  <si>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</si>
  <si>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</si>
  <si>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</si>
  <si>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</si>
  <si>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</si>
  <si>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</si>
  <si>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</si>
  <si>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</si>
  <si>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</si>
  <si>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</si>
  <si>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</si>
  <si>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</si>
  <si>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</si>
  <si>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</si>
  <si>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</si>
  <si>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</si>
  <si>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</si>
  <si>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</si>
  <si>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</si>
  <si>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</si>
  <si>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</si>
  <si>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</si>
  <si>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</si>
  <si>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</si>
  <si>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</si>
  <si>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</si>
  <si>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</si>
  <si>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</si>
  <si>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</si>
  <si>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</si>
  <si>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</si>
  <si>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</si>
  <si>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</si>
  <si>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</si>
  <si>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</si>
  <si>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</si>
  <si>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</si>
  <si>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</si>
  <si>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</si>
  <si>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</si>
  <si>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</si>
  <si>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</si>
  <si>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</si>
  <si>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</si>
  <si>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</si>
  <si>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</si>
  <si>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</si>
  <si>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</si>
  <si>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</si>
  <si>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</si>
  <si>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</si>
  <si>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</si>
  <si>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</si>
  <si>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</si>
  <si>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</si>
  <si>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</si>
  <si>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</si>
  <si>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</si>
  <si>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</si>
  <si>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</si>
  <si>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</si>
  <si>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</si>
  <si>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</si>
  <si>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</si>
  <si>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</si>
  <si>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</si>
  <si>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</si>
  <si>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</si>
  <si>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</si>
  <si>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</si>
  <si>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</si>
  <si>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</si>
  <si>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</si>
  <si>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</si>
  <si>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</si>
  <si>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</si>
  <si>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</si>
  <si>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</si>
  <si>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</si>
  <si>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</si>
  <si>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</si>
  <si>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</si>
  <si>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</si>
  <si>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</si>
  <si>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</si>
  <si>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</si>
  <si>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</si>
  <si>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</si>
  <si>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</si>
  <si>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</si>
  <si>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</si>
  <si>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</si>
  <si>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</si>
  <si>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</si>
  <si>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</si>
  <si>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</si>
  <si>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</si>
  <si>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</si>
  <si>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</si>
  <si>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</si>
  <si>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</si>
  <si>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</si>
  <si>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</si>
  <si>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</si>
  <si>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</si>
  <si>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</si>
  <si>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</si>
  <si>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</si>
  <si>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</si>
  <si>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</si>
  <si>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</si>
  <si>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</si>
  <si>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</si>
  <si>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</si>
  <si>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</si>
  <si>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</si>
  <si>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</si>
  <si>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</si>
  <si>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</si>
  <si>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</si>
  <si>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</si>
  <si>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</si>
  <si>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</si>
  <si>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</si>
  <si>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</si>
  <si>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</si>
  <si>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</si>
  <si>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</si>
  <si>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</si>
  <si>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</si>
  <si>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</si>
  <si>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</si>
  <si>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</si>
  <si>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</si>
  <si>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</si>
  <si>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</si>
  <si>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</si>
  <si>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</si>
  <si>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</si>
  <si>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</si>
  <si>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</si>
  <si>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</si>
  <si>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</si>
  <si>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</si>
  <si>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</si>
  <si>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</si>
  <si>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</si>
  <si>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</si>
  <si>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</si>
  <si>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</si>
  <si>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</si>
  <si>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</si>
  <si>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</si>
  <si>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</si>
  <si>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</si>
  <si>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</si>
  <si>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</si>
  <si>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</si>
  <si>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</si>
  <si>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</si>
  <si>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</si>
  <si>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</si>
  <si>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</si>
  <si>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</si>
  <si>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</si>
  <si>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</si>
  <si>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</si>
  <si>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</si>
  <si>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</si>
  <si>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</si>
  <si>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</si>
  <si>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</si>
  <si>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ausfüllen.</t>
  </si>
  <si>
    <t>Stadtwerke Herford GmbH</t>
  </si>
  <si>
    <t>9870093900009</t>
  </si>
  <si>
    <t>Werrestr. 103</t>
  </si>
  <si>
    <t>Herford</t>
  </si>
  <si>
    <t>Olaf Horst</t>
  </si>
  <si>
    <t>horst@stadtwerke-herford.de</t>
  </si>
  <si>
    <t>05221/922-432</t>
  </si>
  <si>
    <t>GASPOOLNL7009391</t>
  </si>
  <si>
    <t>NCLN007009390000</t>
  </si>
  <si>
    <t>Bad Salzuflen</t>
  </si>
  <si>
    <t>MeteoGroup Deutschland GmbH</t>
  </si>
  <si>
    <t>DE_GMF03</t>
  </si>
  <si>
    <t>DE_GHA03</t>
  </si>
  <si>
    <t>DE_GKO03</t>
  </si>
  <si>
    <t>DE_GBD03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</si>
</sst>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D28" sqref="D28"/>
    </sheetView>
  </sheetViews>
  <sheetFormatPr baseColWidth="10" defaultColWidth="0" defaultRowHeight="14.4" zeroHeight="1"/>
  <cols>
    <col min="1" max="1" width="2.886718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9" t="s">
        <v>464</v>
      </c>
    </row>
    <row r="3" spans="2:7"/>
    <row r="4" spans="2:7">
      <c r="B4" s="8" t="s">
        <v>459</v>
      </c>
    </row>
    <row r="5" spans="2:7">
      <c r="B5" s="8" t="s">
        <v>460</v>
      </c>
    </row>
    <row r="6" spans="2:7"/>
    <row r="7" spans="2:7">
      <c r="B7" t="s">
        <v>652</v>
      </c>
    </row>
    <row r="8" spans="2:7" s="8" customFormat="1">
      <c r="B8" s="8" t="s">
        <v>461</v>
      </c>
    </row>
    <row r="9" spans="2:7" s="8" customFormat="1"/>
    <row r="10" spans="2:7" s="8" customFormat="1">
      <c r="B10" s="14" t="s">
        <v>446</v>
      </c>
    </row>
    <row r="11" spans="2:7" s="8" customFormat="1">
      <c r="B11" s="8" t="s">
        <v>653</v>
      </c>
    </row>
    <row r="12" spans="2:7" s="8" customFormat="1">
      <c r="B12" s="8" t="s">
        <v>497</v>
      </c>
    </row>
    <row r="13" spans="2:7" s="8" customFormat="1">
      <c r="B13" s="8" t="s">
        <v>654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42264</v>
      </c>
      <c r="E29" s="8"/>
      <c r="F29" s="8"/>
      <c r="G29" s="8"/>
      <c r="H29" s="8"/>
    </row>
    <row r="30" spans="2:12">
      <c r="B30" s="21" t="s">
        <v>347</v>
      </c>
      <c r="C30" s="327" t="s">
        <v>645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35" sqref="D35"/>
    </sheetView>
  </sheetViews>
  <sheetFormatPr baseColWidth="10" defaultColWidth="0" defaultRowHeight="14.4" zeroHeight="1"/>
  <cols>
    <col min="1" max="1" width="2.88671875" style="8" customWidth="1"/>
    <col min="2" max="2" width="5.88671875" style="2" customWidth="1"/>
    <col min="3" max="3" width="65" customWidth="1"/>
    <col min="4" max="4" width="49.109375" customWidth="1"/>
    <col min="5" max="5" width="11.44140625" customWidth="1"/>
    <col min="6" max="6" width="75.6640625" hidden="1" customWidth="1"/>
    <col min="7" max="16384" width="11.44140625" hidden="1"/>
  </cols>
  <sheetData>
    <row r="1" spans="1:8" s="8" customFormat="1" ht="75.75" customHeight="1"/>
    <row r="2" spans="1:8" s="8" customFormat="1" ht="23.4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649</v>
      </c>
      <c r="D4" s="27">
        <v>42278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648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655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31" t="s">
        <v>656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657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32049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658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458</v>
      </c>
      <c r="D27" s="42" t="s">
        <v>395</v>
      </c>
      <c r="E27" s="39"/>
      <c r="F27" s="11"/>
    </row>
    <row r="28" spans="1:15">
      <c r="B28" s="15"/>
      <c r="C28" s="65" t="s">
        <v>499</v>
      </c>
      <c r="D28" s="48" t="str">
        <f>IF(D27&lt;&gt;C28,VLOOKUP(D27,$C$29:$D$48,2,FALSE),C28)</f>
        <v>Stadtwerke Herford GmbH</v>
      </c>
      <c r="E28" s="38"/>
      <c r="F28" s="11"/>
      <c r="G28" s="2"/>
    </row>
    <row r="29" spans="1:15">
      <c r="B29" s="15"/>
      <c r="C29" s="22" t="s">
        <v>395</v>
      </c>
      <c r="D29" s="45" t="s">
        <v>655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430</v>
      </c>
      <c r="D38" s="46"/>
      <c r="E38" s="40"/>
      <c r="F38" s="47"/>
      <c r="G38" s="2"/>
    </row>
    <row r="39" spans="2:7">
      <c r="B39" s="15"/>
      <c r="C39" s="22" t="s">
        <v>431</v>
      </c>
      <c r="D39" s="46"/>
      <c r="E39" s="40"/>
      <c r="F39" s="47"/>
      <c r="G39" s="2"/>
    </row>
    <row r="40" spans="2:7">
      <c r="B40" s="15"/>
      <c r="C40" s="22" t="s">
        <v>432</v>
      </c>
      <c r="D40" s="46"/>
      <c r="E40" s="40"/>
      <c r="F40" s="47"/>
      <c r="G40" s="2"/>
    </row>
    <row r="41" spans="2:7">
      <c r="B41" s="15"/>
      <c r="C41" s="22" t="s">
        <v>433</v>
      </c>
      <c r="D41" s="46"/>
      <c r="E41" s="40"/>
      <c r="F41" s="47"/>
      <c r="G41" s="2"/>
    </row>
    <row r="42" spans="2:7">
      <c r="B42" s="15"/>
      <c r="C42" s="22" t="s">
        <v>434</v>
      </c>
      <c r="D42" s="46"/>
      <c r="E42" s="40"/>
      <c r="F42" s="47"/>
      <c r="G42" s="2"/>
    </row>
    <row r="43" spans="2:7">
      <c r="B43" s="15"/>
      <c r="C43" s="22" t="s">
        <v>435</v>
      </c>
      <c r="D43" s="46"/>
      <c r="E43" s="40"/>
      <c r="F43" s="47"/>
      <c r="G43" s="2"/>
    </row>
    <row r="44" spans="2:7">
      <c r="B44" s="15"/>
      <c r="C44" s="22" t="s">
        <v>436</v>
      </c>
      <c r="D44" s="46"/>
      <c r="E44" s="40"/>
      <c r="F44" s="47"/>
      <c r="G44" s="2"/>
    </row>
    <row r="45" spans="2:7">
      <c r="B45" s="15"/>
      <c r="C45" s="22" t="s">
        <v>437</v>
      </c>
      <c r="D45" s="46"/>
      <c r="E45" s="40"/>
      <c r="F45" s="47"/>
      <c r="G45" s="2"/>
    </row>
    <row r="46" spans="2:7">
      <c r="B46" s="15"/>
      <c r="C46" s="22" t="s">
        <v>438</v>
      </c>
      <c r="D46" s="46"/>
      <c r="E46" s="40"/>
      <c r="F46" s="47"/>
    </row>
    <row r="47" spans="2:7">
      <c r="B47" s="15"/>
      <c r="C47" s="22" t="s">
        <v>439</v>
      </c>
      <c r="D47" s="46"/>
      <c r="E47" s="40"/>
      <c r="F47" s="47"/>
    </row>
    <row r="48" spans="2:7">
      <c r="B48" s="15"/>
      <c r="C48" s="22" t="s">
        <v>440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61" priority="2">
      <formula>IF(CELL("Zeile",D29)&lt;$D$25+CELL("Zeile",$D$29),1,0)</formula>
    </cfRule>
  </conditionalFormatting>
  <conditionalFormatting sqref="D30:D48">
    <cfRule type="expression" dxfId="60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7" zoomScale="80" zoomScaleNormal="80" workbookViewId="0">
      <selection activeCell="E53" sqref="E53"/>
    </sheetView>
  </sheetViews>
  <sheetFormatPr baseColWidth="10" defaultColWidth="0" defaultRowHeight="18" customHeight="1"/>
  <cols>
    <col min="1" max="1" width="2.88671875" style="8" customWidth="1"/>
    <col min="2" max="2" width="5.88671875" style="8" customWidth="1"/>
    <col min="3" max="3" width="51.44140625" style="8" customWidth="1"/>
    <col min="4" max="4" width="33.109375" style="8" customWidth="1"/>
    <col min="5" max="5" width="26.5546875" style="8" customWidth="1"/>
    <col min="6" max="39" width="8.88671875" style="13" hidden="1" customWidth="1"/>
    <col min="40" max="16384" width="8.88671875" style="8" hidden="1"/>
  </cols>
  <sheetData>
    <row r="1" spans="2:15" ht="75" customHeight="1"/>
    <row r="2" spans="2:15" ht="23.4">
      <c r="B2" s="9" t="s">
        <v>269</v>
      </c>
    </row>
    <row r="3" spans="2:15" ht="14.4"/>
    <row r="4" spans="2:15" ht="14.4">
      <c r="B4" s="15"/>
      <c r="C4" s="15"/>
      <c r="D4" s="15"/>
      <c r="E4" s="15"/>
    </row>
    <row r="5" spans="2:15" ht="15" customHeight="1">
      <c r="B5" s="22"/>
      <c r="C5" s="56" t="s">
        <v>444</v>
      </c>
      <c r="D5" s="58" t="str">
        <f>Netzbetreiber!$D$9</f>
        <v>Stadtwerke Herford GmbH</v>
      </c>
      <c r="H5" s="67"/>
      <c r="I5" s="67"/>
      <c r="J5" s="67"/>
      <c r="K5" s="67"/>
    </row>
    <row r="6" spans="2:15" ht="15" customHeight="1">
      <c r="B6" s="22"/>
      <c r="C6" s="61" t="s">
        <v>443</v>
      </c>
      <c r="D6" s="58" t="str">
        <f>Netzbetreiber!D28</f>
        <v>Stadtwerke Herford GmbH</v>
      </c>
      <c r="E6" s="15"/>
      <c r="H6" s="67"/>
      <c r="I6" s="67"/>
      <c r="J6" s="67"/>
      <c r="K6" s="67"/>
    </row>
    <row r="7" spans="2:15" ht="15" customHeight="1">
      <c r="B7" s="22"/>
      <c r="C7" s="60" t="s">
        <v>486</v>
      </c>
      <c r="D7" s="328" t="str">
        <f>Netzbetreiber!$D$11</f>
        <v>9870093900009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260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610</v>
      </c>
      <c r="D13" s="33" t="s">
        <v>612</v>
      </c>
      <c r="E13" s="15"/>
      <c r="H13" s="271" t="s">
        <v>611</v>
      </c>
      <c r="I13" s="271" t="s">
        <v>612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429</v>
      </c>
      <c r="D15" s="42" t="s">
        <v>663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428</v>
      </c>
      <c r="D16" s="42" t="s">
        <v>662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368</v>
      </c>
      <c r="D18" s="49" t="s">
        <v>135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 zeitnah ermittelter Netzustand bestimmt Höhe der täglichen Allokation</v>
      </c>
      <c r="D19" s="16"/>
      <c r="E19" s="15"/>
      <c r="H19" s="270" t="s">
        <v>570</v>
      </c>
      <c r="I19" s="270" t="s">
        <v>487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SLPana</v>
      </c>
      <c r="D20" s="16"/>
      <c r="E20" s="15"/>
      <c r="H20" s="270" t="s">
        <v>488</v>
      </c>
      <c r="I20" s="270" t="s">
        <v>489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608</v>
      </c>
      <c r="D22" s="49" t="s">
        <v>604</v>
      </c>
      <c r="E22" s="15"/>
      <c r="H22" s="267" t="s">
        <v>604</v>
      </c>
      <c r="I22" s="267" t="s">
        <v>605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606</v>
      </c>
      <c r="E23" s="15"/>
      <c r="H23" s="267" t="s">
        <v>607</v>
      </c>
      <c r="I23" s="8" t="s">
        <v>603</v>
      </c>
      <c r="J23" s="8"/>
      <c r="K23" s="8"/>
      <c r="L23" s="268"/>
    </row>
    <row r="24" spans="2:16" ht="15" customHeight="1">
      <c r="B24" s="22"/>
      <c r="C24" s="24" t="s">
        <v>609</v>
      </c>
      <c r="D24" s="24" t="str">
        <f>IF(D22=$H$22,L24,IF(D23=$H$24,M24,N24))</f>
        <v>=&gt;  Q(D) = KW  x  h(T, SLP-Typ)  x  F(WT)</v>
      </c>
      <c r="E24" s="15"/>
      <c r="H24" s="267" t="s">
        <v>606</v>
      </c>
      <c r="I24" s="267" t="s">
        <v>613</v>
      </c>
      <c r="J24" s="8"/>
      <c r="K24" s="8"/>
      <c r="L24" s="270" t="s">
        <v>614</v>
      </c>
      <c r="M24" s="270" t="s">
        <v>616</v>
      </c>
      <c r="N24" s="270" t="s">
        <v>615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370</v>
      </c>
      <c r="C26" s="6" t="s">
        <v>573</v>
      </c>
      <c r="D26" s="42" t="s">
        <v>134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617</v>
      </c>
      <c r="D27" s="42" t="s">
        <v>618</v>
      </c>
      <c r="E27" s="15"/>
      <c r="H27" s="297" t="s">
        <v>618</v>
      </c>
      <c r="I27" s="269" t="s">
        <v>619</v>
      </c>
      <c r="J27" s="269" t="s">
        <v>620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621</v>
      </c>
      <c r="I28" s="270" t="s">
        <v>622</v>
      </c>
      <c r="J28" s="270" t="s">
        <v>623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624</v>
      </c>
      <c r="I29" s="270" t="s">
        <v>625</v>
      </c>
      <c r="J29" s="270" t="s">
        <v>626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492</v>
      </c>
      <c r="C31" s="6" t="s">
        <v>572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627</v>
      </c>
      <c r="I32" s="270" t="s">
        <v>628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629</v>
      </c>
      <c r="I33" s="267" t="s">
        <v>624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544</v>
      </c>
      <c r="C35" s="24" t="s">
        <v>494</v>
      </c>
      <c r="D35" s="42">
        <v>7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545</v>
      </c>
      <c r="C37" s="5" t="s">
        <v>365</v>
      </c>
      <c r="D37" s="34">
        <v>1500000</v>
      </c>
      <c r="E37" s="15" t="s">
        <v>503</v>
      </c>
      <c r="I37" s="267"/>
      <c r="J37" s="267"/>
      <c r="K37" s="267"/>
      <c r="L37" s="267"/>
      <c r="M37" s="268"/>
    </row>
    <row r="38" spans="2:39" customFormat="1" ht="1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546</v>
      </c>
      <c r="C40" s="5" t="s">
        <v>366</v>
      </c>
      <c r="D40" s="36">
        <v>500</v>
      </c>
      <c r="E40" s="15" t="s">
        <v>536</v>
      </c>
      <c r="H40" s="67"/>
      <c r="I40" s="67"/>
      <c r="J40" s="67"/>
      <c r="K40" s="67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535</v>
      </c>
    </row>
    <row r="44" spans="2:39" ht="18" customHeight="1">
      <c r="C44" s="3" t="s">
        <v>537</v>
      </c>
    </row>
    <row r="45" spans="2:39" ht="18" customHeight="1">
      <c r="C45" s="3"/>
    </row>
    <row r="46" spans="2:39" ht="15" customHeight="1">
      <c r="B46" s="22" t="s">
        <v>547</v>
      </c>
      <c r="C46" s="60" t="s">
        <v>571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581</v>
      </c>
      <c r="D48" s="45" t="s">
        <v>664</v>
      </c>
    </row>
    <row r="49" spans="3:4" ht="18" customHeight="1">
      <c r="C49" s="22" t="s">
        <v>582</v>
      </c>
      <c r="D49" s="45"/>
    </row>
    <row r="50" spans="3:4" ht="18" customHeight="1">
      <c r="C50" s="22" t="s">
        <v>583</v>
      </c>
      <c r="D50" s="45"/>
    </row>
    <row r="51" spans="3:4" ht="18" customHeight="1">
      <c r="C51" s="22" t="s">
        <v>584</v>
      </c>
      <c r="D51" s="45"/>
    </row>
    <row r="52" spans="3:4" ht="18" customHeight="1">
      <c r="C52" s="22" t="s">
        <v>585</v>
      </c>
      <c r="D52" s="45"/>
    </row>
    <row r="53" spans="3:4" ht="18" customHeight="1">
      <c r="C53" s="22" t="s">
        <v>586</v>
      </c>
      <c r="D53" s="45"/>
    </row>
    <row r="54" spans="3:4" ht="18" customHeight="1">
      <c r="C54" s="22" t="s">
        <v>587</v>
      </c>
      <c r="D54" s="45"/>
    </row>
    <row r="55" spans="3:4" ht="18" customHeight="1">
      <c r="C55" s="22" t="s">
        <v>588</v>
      </c>
      <c r="D55" s="45"/>
    </row>
    <row r="56" spans="3:4" ht="18" customHeight="1">
      <c r="C56" s="22" t="s">
        <v>589</v>
      </c>
      <c r="D56" s="45"/>
    </row>
    <row r="57" spans="3:4" ht="18" customHeight="1">
      <c r="C57" s="22" t="s">
        <v>590</v>
      </c>
      <c r="D57" s="45"/>
    </row>
    <row r="58" spans="3:4" ht="18" customHeight="1">
      <c r="C58" s="22" t="s">
        <v>591</v>
      </c>
      <c r="D58" s="45"/>
    </row>
    <row r="59" spans="3:4" ht="18" customHeight="1">
      <c r="C59" s="22" t="s">
        <v>592</v>
      </c>
      <c r="D59" s="45"/>
    </row>
    <row r="60" spans="3:4" ht="18" customHeight="1">
      <c r="C60" s="22" t="s">
        <v>593</v>
      </c>
      <c r="D60" s="45"/>
    </row>
    <row r="61" spans="3:4" ht="18" customHeight="1">
      <c r="C61" s="22" t="s">
        <v>594</v>
      </c>
      <c r="D61" s="45"/>
    </row>
    <row r="62" spans="3:4" ht="18" customHeight="1">
      <c r="C62" s="22" t="s">
        <v>595</v>
      </c>
      <c r="D62" s="45"/>
    </row>
  </sheetData>
  <sheetProtection sheet="1" objects="1" scenarios="1"/>
  <conditionalFormatting sqref="D15">
    <cfRule type="expression" dxfId="59" priority="21">
      <formula>IF($D$11="Gaspool",1,0)</formula>
    </cfRule>
  </conditionalFormatting>
  <conditionalFormatting sqref="D16">
    <cfRule type="expression" dxfId="58" priority="18">
      <formula>IF($D$11="NCG",1,0)</formula>
    </cfRule>
  </conditionalFormatting>
  <conditionalFormatting sqref="D48:D62">
    <cfRule type="expression" dxfId="57" priority="17">
      <formula>IF(CELL("Zeile",D48)&lt;$D$46+CELL("Zeile",$D$48),1,0)</formula>
    </cfRule>
  </conditionalFormatting>
  <conditionalFormatting sqref="D49:D62">
    <cfRule type="expression" dxfId="56" priority="16">
      <formula>IF(CELL(D49)&lt;$D$36+27,1,0)</formula>
    </cfRule>
  </conditionalFormatting>
  <conditionalFormatting sqref="D23">
    <cfRule type="expression" dxfId="55" priority="15">
      <formula>IF($D$22=$H$22,1,0)</formula>
    </cfRule>
  </conditionalFormatting>
  <conditionalFormatting sqref="D31">
    <cfRule type="expression" dxfId="54" priority="4">
      <formula>IF($D$18="synthetisch",1,0)</formula>
    </cfRule>
  </conditionalFormatting>
  <conditionalFormatting sqref="D28">
    <cfRule type="expression" dxfId="53" priority="2">
      <formula>IF(AND($D$27=$I$27,$D$26=$H$26),1,0)</formula>
    </cfRule>
  </conditionalFormatting>
  <conditionalFormatting sqref="D26:D28">
    <cfRule type="expression" dxfId="52" priority="5">
      <formula>IF($D$18="analytisch",1,0)</formula>
    </cfRule>
  </conditionalFormatting>
  <conditionalFormatting sqref="D27">
    <cfRule type="expression" dxfId="51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28" zoomScale="70" zoomScaleNormal="70" workbookViewId="0">
      <selection activeCell="E32" sqref="E32:H36"/>
    </sheetView>
  </sheetViews>
  <sheetFormatPr baseColWidth="10" defaultColWidth="0" defaultRowHeight="14.4" zeroHeight="1"/>
  <cols>
    <col min="1" max="1" width="2.88671875" style="127" customWidth="1"/>
    <col min="2" max="2" width="5.44140625" style="127" customWidth="1"/>
    <col min="3" max="3" width="37.5546875" style="127" customWidth="1"/>
    <col min="4" max="4" width="12.5546875" style="127" customWidth="1"/>
    <col min="5" max="14" width="12.6640625" style="127" customWidth="1"/>
    <col min="15" max="15" width="34.109375" style="127" customWidth="1"/>
    <col min="16" max="16" width="7.33203125" style="169" customWidth="1"/>
    <col min="17" max="18" width="7.33203125" style="207" hidden="1" customWidth="1"/>
    <col min="19" max="19" width="13.44140625" style="207" hidden="1" customWidth="1"/>
    <col min="20" max="20" width="23.5546875" style="207" hidden="1" customWidth="1"/>
    <col min="21" max="21" width="5.44140625" style="207" hidden="1" customWidth="1"/>
    <col min="22" max="22" width="5" style="207" hidden="1" customWidth="1"/>
    <col min="23" max="23" width="5.33203125" style="207" hidden="1" customWidth="1"/>
    <col min="24" max="24" width="5" style="207" hidden="1" customWidth="1"/>
    <col min="25" max="25" width="8.109375" style="207" hidden="1" customWidth="1"/>
    <col min="26" max="26" width="11.6640625" style="207" hidden="1" customWidth="1"/>
    <col min="27" max="27" width="8.88671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2:56" ht="75" customHeight="1"/>
    <row r="2" spans="2:56" ht="23.4">
      <c r="B2" s="170" t="s">
        <v>539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Netzbetreiber!D9</f>
        <v>Stadtwerke Herford GmbH</v>
      </c>
      <c r="F4" s="330"/>
      <c r="G4" s="330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Netzbetreiber!D28</f>
        <v>Stadtwerke Herford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Netzbetreiber!D11</f>
        <v>9870093900009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1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3" t="str">
        <f>INDEX('SLP-Verfahren'!D48:D62,'SLP-Temp-Gebiet #01'!F10)</f>
        <v>Bad Salzuflen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579</v>
      </c>
      <c r="D13" s="342"/>
      <c r="E13" s="342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447</v>
      </c>
      <c r="D14" s="343"/>
      <c r="E14" s="89" t="s">
        <v>448</v>
      </c>
      <c r="F14" s="262" t="s">
        <v>85</v>
      </c>
      <c r="G14" s="263" t="s">
        <v>567</v>
      </c>
      <c r="H14" s="51">
        <v>0</v>
      </c>
      <c r="I14" s="57"/>
      <c r="J14" s="129"/>
      <c r="K14" s="129"/>
      <c r="L14" s="129"/>
      <c r="M14" s="129"/>
      <c r="N14" s="129"/>
      <c r="O14" s="332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43" t="s">
        <v>387</v>
      </c>
      <c r="D15" s="343"/>
      <c r="E15" s="89" t="s">
        <v>448</v>
      </c>
      <c r="F15" s="262" t="s">
        <v>71</v>
      </c>
      <c r="G15" s="263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665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512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665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MeteoGroup Deutschland GmbH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155" t="s">
        <v>664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>
        <v>10325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450</v>
      </c>
      <c r="D34" s="152" t="s">
        <v>449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142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533</v>
      </c>
      <c r="E36" s="161" t="s">
        <v>451</v>
      </c>
      <c r="F36" s="161" t="s">
        <v>452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5.6">
      <c r="B39" s="191"/>
      <c r="C39" s="195" t="s">
        <v>349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512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MeteoGroup Deutschland GmbH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 t="str">
        <f>E24</f>
        <v>Bad Salzuflen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>
        <f>E25</f>
        <v>10325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522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528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450</v>
      </c>
      <c r="D68" s="152" t="s">
        <v>449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442</v>
      </c>
      <c r="D70" s="118" t="s">
        <v>533</v>
      </c>
      <c r="E70" s="162" t="s">
        <v>452</v>
      </c>
      <c r="F70" s="162" t="s">
        <v>452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4" t="s">
        <v>575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9" priority="30">
      <formula>IF(E$20&lt;=$F$18,1,0)</formula>
    </cfRule>
  </conditionalFormatting>
  <conditionalFormatting sqref="I32:N36">
    <cfRule type="expression" dxfId="48" priority="29">
      <formula>IF(I$30&lt;=$F$28,1,0)</formula>
    </cfRule>
  </conditionalFormatting>
  <conditionalFormatting sqref="E26:F26">
    <cfRule type="expression" dxfId="47" priority="28">
      <formula>IF(E$20&lt;=$F$18,1,0)</formula>
    </cfRule>
  </conditionalFormatting>
  <conditionalFormatting sqref="E26:N26">
    <cfRule type="expression" dxfId="46" priority="27">
      <formula>IF(E$20&lt;=$F$18,1,0)</formula>
    </cfRule>
  </conditionalFormatting>
  <conditionalFormatting sqref="E56:N59">
    <cfRule type="expression" dxfId="45" priority="24">
      <formula>IF(E$54&lt;=$F$52,1,0)</formula>
    </cfRule>
  </conditionalFormatting>
  <conditionalFormatting sqref="E60:N60">
    <cfRule type="expression" dxfId="44" priority="23">
      <formula>IF(E$54&lt;=$F$52,1,0)</formula>
    </cfRule>
  </conditionalFormatting>
  <conditionalFormatting sqref="E66:N68">
    <cfRule type="expression" dxfId="43" priority="17">
      <formula>IF(E$64&lt;=$F$62,1,0)</formula>
    </cfRule>
  </conditionalFormatting>
  <conditionalFormatting sqref="E65:N68 E70:N70">
    <cfRule type="expression" dxfId="42" priority="15">
      <formula>IF(E$64&gt;$F$62,1,0)</formula>
    </cfRule>
  </conditionalFormatting>
  <conditionalFormatting sqref="E56:N60">
    <cfRule type="expression" dxfId="41" priority="14">
      <formula>IF(E$54&gt;$F$52,1,0)</formula>
    </cfRule>
  </conditionalFormatting>
  <conditionalFormatting sqref="E21:N26">
    <cfRule type="expression" dxfId="40" priority="13">
      <formula>IF(E$20&gt;$F$18,1,0)</formula>
    </cfRule>
  </conditionalFormatting>
  <conditionalFormatting sqref="I32:N36">
    <cfRule type="expression" dxfId="39" priority="12">
      <formula>IF(I$30&gt;$F$28,1,0)</formula>
    </cfRule>
  </conditionalFormatting>
  <conditionalFormatting sqref="H11 H8:H9">
    <cfRule type="expression" dxfId="38" priority="11">
      <formula>IF($F$9=1,1,0)</formula>
    </cfRule>
  </conditionalFormatting>
  <conditionalFormatting sqref="E55:N55">
    <cfRule type="expression" dxfId="37" priority="10">
      <formula>IF(E$54&gt;$F$52,1,0)</formula>
    </cfRule>
  </conditionalFormatting>
  <conditionalFormatting sqref="E31:N31">
    <cfRule type="expression" dxfId="36" priority="9">
      <formula>IF(E$30&gt;$F$28,1,0)</formula>
    </cfRule>
  </conditionalFormatting>
  <conditionalFormatting sqref="E70:N70">
    <cfRule type="expression" dxfId="35" priority="8">
      <formula>IF(E$64&lt;=$F$62,1,0)</formula>
    </cfRule>
  </conditionalFormatting>
  <conditionalFormatting sqref="H10">
    <cfRule type="expression" dxfId="34" priority="7">
      <formula>IF($F$9=1,1,0)</formula>
    </cfRule>
  </conditionalFormatting>
  <conditionalFormatting sqref="E69:N69">
    <cfRule type="expression" dxfId="33" priority="4">
      <formula>IF(E$64&lt;=$F$62,1,0)</formula>
    </cfRule>
  </conditionalFormatting>
  <conditionalFormatting sqref="E69:N69">
    <cfRule type="expression" dxfId="32" priority="3">
      <formula>IF(E$64&gt;$F$62,1,0)</formula>
    </cfRule>
  </conditionalFormatting>
  <conditionalFormatting sqref="E32:H36">
    <cfRule type="expression" dxfId="31" priority="2">
      <formula>IF(E$30&lt;=$F$28,1,0)</formula>
    </cfRule>
  </conditionalFormatting>
  <conditionalFormatting sqref="E32:H36">
    <cfRule type="expression" dxfId="30" priority="1">
      <formula>IF(E$30&gt;$F$28,1,0)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I36:N36 E26:N26 E56:N60 F22 I22:N22 F52 F62 G24:N24 G70:N70 I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8671875" style="127" customWidth="1"/>
    <col min="2" max="2" width="5.44140625" style="127" customWidth="1"/>
    <col min="3" max="3" width="37.5546875" style="127" customWidth="1"/>
    <col min="4" max="4" width="12.5546875" style="127" customWidth="1"/>
    <col min="5" max="14" width="12.6640625" style="127" customWidth="1"/>
    <col min="15" max="15" width="34.109375" style="127" customWidth="1"/>
    <col min="16" max="16" width="7.33203125" style="169" customWidth="1"/>
    <col min="17" max="18" width="7.33203125" style="207" hidden="1" customWidth="1"/>
    <col min="19" max="19" width="13.44140625" style="207" hidden="1" customWidth="1"/>
    <col min="20" max="20" width="23.5546875" style="207" hidden="1" customWidth="1"/>
    <col min="21" max="21" width="5.44140625" style="207" hidden="1" customWidth="1"/>
    <col min="22" max="22" width="5" style="207" hidden="1" customWidth="1"/>
    <col min="23" max="23" width="5.33203125" style="207" hidden="1" customWidth="1"/>
    <col min="24" max="24" width="5" style="207" hidden="1" customWidth="1"/>
    <col min="25" max="25" width="8.109375" style="207" hidden="1" customWidth="1"/>
    <col min="26" max="26" width="11.6640625" style="207" hidden="1" customWidth="1"/>
    <col min="27" max="27" width="8.88671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2:56" ht="75" customHeight="1"/>
    <row r="2" spans="2:56" ht="23.4">
      <c r="B2" s="170" t="s">
        <v>539</v>
      </c>
    </row>
    <row r="3" spans="2:56" ht="15" customHeight="1">
      <c r="B3" s="170"/>
    </row>
    <row r="4" spans="2:56" ht="14.4">
      <c r="B4" s="129"/>
      <c r="C4" s="56" t="s">
        <v>444</v>
      </c>
      <c r="D4" s="57"/>
      <c r="E4" s="330" t="str">
        <f>Netzbetreiber!$D$9</f>
        <v>Stadtwerke Herford GmbH</v>
      </c>
      <c r="F4" s="129"/>
      <c r="M4" s="129"/>
      <c r="N4" s="129"/>
      <c r="O4" s="129"/>
    </row>
    <row r="5" spans="2:56" ht="14.4">
      <c r="B5" s="129"/>
      <c r="C5" s="56" t="s">
        <v>443</v>
      </c>
      <c r="D5" s="57"/>
      <c r="E5" s="58" t="str">
        <f>Netzbetreiber!$D$28</f>
        <v>Stadtwerke Herford GmbH</v>
      </c>
      <c r="F5" s="129"/>
      <c r="G5" s="129"/>
      <c r="H5" s="129"/>
      <c r="M5" s="129"/>
      <c r="N5" s="129"/>
      <c r="O5" s="129"/>
    </row>
    <row r="6" spans="2:56" ht="14.4">
      <c r="B6" s="129"/>
      <c r="C6" s="60" t="s">
        <v>486</v>
      </c>
      <c r="D6" s="57"/>
      <c r="E6" s="329" t="str">
        <f>Netzbetreiber!$D$11</f>
        <v>9870093900009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 ht="14.4">
      <c r="B7" s="129"/>
      <c r="C7" s="56" t="s">
        <v>133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 ht="14.4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 ht="14.4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 ht="14.4">
      <c r="B10" s="129"/>
      <c r="C10" s="56" t="s">
        <v>580</v>
      </c>
      <c r="D10" s="129"/>
      <c r="E10" s="129"/>
      <c r="F10" s="49">
        <v>2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 ht="14.4">
      <c r="B11" s="129"/>
      <c r="C11" s="56" t="s">
        <v>598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 ht="14.4"/>
    <row r="13" spans="2:56" ht="18" customHeight="1">
      <c r="B13" s="129"/>
      <c r="C13" s="342" t="s">
        <v>579</v>
      </c>
      <c r="D13" s="342"/>
      <c r="E13" s="342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447</v>
      </c>
      <c r="D14" s="343"/>
      <c r="E14" s="89" t="s">
        <v>448</v>
      </c>
      <c r="F14" s="262" t="s">
        <v>85</v>
      </c>
      <c r="G14" s="263" t="s">
        <v>567</v>
      </c>
      <c r="H14" s="51">
        <v>0</v>
      </c>
      <c r="I14" s="57"/>
      <c r="J14" s="129"/>
      <c r="K14" s="129"/>
      <c r="L14" s="129"/>
      <c r="M14" s="129"/>
      <c r="N14" s="129"/>
      <c r="O14" s="332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43" t="s">
        <v>387</v>
      </c>
      <c r="D15" s="343"/>
      <c r="E15" s="89" t="s">
        <v>448</v>
      </c>
      <c r="F15" s="262" t="s">
        <v>71</v>
      </c>
      <c r="G15" s="263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523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 ht="14.4">
      <c r="B18" s="129"/>
      <c r="C18" s="56" t="s">
        <v>519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4">
      <c r="B21" s="181"/>
      <c r="C21" s="182" t="s">
        <v>521</v>
      </c>
      <c r="D21" s="152" t="s">
        <v>512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4">
      <c r="B22" s="181"/>
      <c r="C22" s="182" t="s">
        <v>532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4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4">
      <c r="B24" s="181"/>
      <c r="C24" s="185" t="s">
        <v>516</v>
      </c>
      <c r="D24" s="186"/>
      <c r="E24" s="155" t="s">
        <v>576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4">
      <c r="B25" s="181"/>
      <c r="C25" s="185" t="s">
        <v>511</v>
      </c>
      <c r="D25" s="186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4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4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4">
      <c r="B28" s="129"/>
      <c r="C28" s="56" t="s">
        <v>515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4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4">
      <c r="B31" s="181"/>
      <c r="C31" s="182" t="s">
        <v>522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4">
      <c r="B32" s="181"/>
      <c r="C32" s="182" t="s">
        <v>528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4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 ht="14.4">
      <c r="B34" s="181"/>
      <c r="C34" s="185" t="s">
        <v>450</v>
      </c>
      <c r="D34" s="152" t="s">
        <v>449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4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142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4">
      <c r="B36" s="181"/>
      <c r="C36" s="190" t="s">
        <v>442</v>
      </c>
      <c r="D36" s="118" t="s">
        <v>533</v>
      </c>
      <c r="E36" s="161" t="s">
        <v>451</v>
      </c>
      <c r="F36" s="161" t="s">
        <v>451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 ht="14.4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5.6">
      <c r="B39" s="191"/>
      <c r="C39" s="195" t="s">
        <v>349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4.4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 ht="14.4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 ht="14.4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 ht="14.4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 ht="14.4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 ht="14.4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 ht="14.4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 ht="14.4">
      <c r="B47" s="191"/>
      <c r="C47" s="198" t="s">
        <v>348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 ht="14.4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4.4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 ht="14.4">
      <c r="B52" s="129"/>
      <c r="C52" s="56" t="s">
        <v>538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 ht="14.4">
      <c r="B55" s="181"/>
      <c r="C55" s="182" t="s">
        <v>521</v>
      </c>
      <c r="D55" s="152" t="s">
        <v>512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 ht="14.4">
      <c r="B56" s="181"/>
      <c r="C56" s="182" t="s">
        <v>532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 ht="14.4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 ht="14.4">
      <c r="B58" s="181"/>
      <c r="C58" s="185" t="s">
        <v>516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 ht="14.4">
      <c r="B59" s="181"/>
      <c r="C59" s="185" t="s">
        <v>511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 ht="14.4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 ht="14.4"/>
    <row r="62" spans="2:28" ht="14.4">
      <c r="C62" s="56" t="s">
        <v>515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 ht="14.4">
      <c r="B65" s="181"/>
      <c r="C65" s="182" t="s">
        <v>522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 ht="14.4">
      <c r="B66" s="181"/>
      <c r="C66" s="182" t="s">
        <v>528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 ht="14.4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 ht="14.4">
      <c r="B68" s="181"/>
      <c r="C68" s="185" t="s">
        <v>450</v>
      </c>
      <c r="D68" s="152" t="s">
        <v>449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 ht="14.4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 ht="14.4">
      <c r="B70" s="181"/>
      <c r="C70" s="190" t="s">
        <v>442</v>
      </c>
      <c r="D70" s="118" t="s">
        <v>533</v>
      </c>
      <c r="E70" s="162" t="s">
        <v>452</v>
      </c>
      <c r="F70" s="162" t="s">
        <v>452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 ht="14.4"/>
    <row r="72" spans="2:15" ht="15.75" customHeight="1">
      <c r="C72" s="344" t="s">
        <v>575</v>
      </c>
      <c r="D72" s="344"/>
      <c r="E72" s="344"/>
      <c r="F72" s="344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F22" sqref="F22"/>
    </sheetView>
  </sheetViews>
  <sheetFormatPr baseColWidth="10" defaultColWidth="0" defaultRowHeight="14.4" zeroHeight="1"/>
  <cols>
    <col min="1" max="1" width="2.88671875" style="127" customWidth="1"/>
    <col min="2" max="2" width="8" style="127" customWidth="1"/>
    <col min="3" max="3" width="37.44140625" style="127" customWidth="1"/>
    <col min="4" max="4" width="10.6640625" style="127" customWidth="1"/>
    <col min="5" max="6" width="11.44140625" style="127" customWidth="1"/>
    <col min="8" max="8" width="12.6640625" style="127" customWidth="1"/>
    <col min="9" max="9" width="15.44140625" style="127" customWidth="1"/>
    <col min="10" max="11" width="12.6640625" style="127" customWidth="1"/>
    <col min="12" max="12" width="11.44140625" style="127" customWidth="1"/>
    <col min="13" max="16" width="12.6640625" style="127" customWidth="1"/>
    <col min="17" max="17" width="14.109375" style="127" customWidth="1"/>
    <col min="18" max="24" width="11.44140625" style="127" customWidth="1"/>
    <col min="25" max="25" width="20.109375" style="127" customWidth="1"/>
    <col min="26" max="26" width="11.44140625" style="127" customWidth="1"/>
    <col min="27" max="16384" width="11.44140625" style="127" hidden="1"/>
  </cols>
  <sheetData>
    <row r="1" spans="2:26" ht="75" customHeight="1" thickBot="1"/>
    <row r="2" spans="2:26" ht="23.4">
      <c r="B2" s="128" t="s">
        <v>364</v>
      </c>
    </row>
    <row r="3" spans="2:26">
      <c r="B3" s="129" t="s">
        <v>465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Stadtwerke Herford GmbH</v>
      </c>
      <c r="E5" s="129"/>
      <c r="J5" s="88" t="s">
        <v>496</v>
      </c>
      <c r="K5" s="130" t="s">
        <v>498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337</v>
      </c>
      <c r="D6" s="54" t="str">
        <f>Netzbetreiber!$D$28</f>
        <v>Stadtwerke Herford GmbH</v>
      </c>
      <c r="E6" s="129"/>
      <c r="F6" s="129"/>
      <c r="K6" s="130" t="s">
        <v>505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486</v>
      </c>
      <c r="D7" s="54" t="str">
        <f>Netzbetreiber!$D$11</f>
        <v>9870093900009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42278</v>
      </c>
      <c r="E8" s="129"/>
      <c r="F8" s="129"/>
      <c r="H8" s="127" t="s">
        <v>494</v>
      </c>
      <c r="J8" s="131">
        <f>COUNTA(D12:D100)</f>
        <v>7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3.8" thickBot="1">
      <c r="B10" s="133" t="s">
        <v>248</v>
      </c>
      <c r="C10" s="134" t="s">
        <v>493</v>
      </c>
      <c r="D10" s="133" t="s">
        <v>147</v>
      </c>
      <c r="E10" s="272" t="s">
        <v>507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630</v>
      </c>
      <c r="M10" s="149" t="s">
        <v>639</v>
      </c>
      <c r="N10" s="150" t="s">
        <v>640</v>
      </c>
      <c r="O10" s="150" t="s">
        <v>641</v>
      </c>
      <c r="P10" s="151" t="s">
        <v>642</v>
      </c>
      <c r="Q10" s="145" t="s">
        <v>631</v>
      </c>
      <c r="R10" s="135" t="s">
        <v>632</v>
      </c>
      <c r="S10" s="136" t="s">
        <v>633</v>
      </c>
      <c r="T10" s="136" t="s">
        <v>634</v>
      </c>
      <c r="U10" s="136" t="s">
        <v>635</v>
      </c>
      <c r="V10" s="136" t="s">
        <v>636</v>
      </c>
      <c r="W10" s="136" t="s">
        <v>637</v>
      </c>
      <c r="X10" s="137" t="s">
        <v>638</v>
      </c>
      <c r="Y10" s="294" t="s">
        <v>643</v>
      </c>
    </row>
    <row r="11" spans="2:26" ht="15" thickBot="1">
      <c r="B11" s="138" t="s">
        <v>495</v>
      </c>
      <c r="C11" s="139" t="s">
        <v>506</v>
      </c>
      <c r="D11" s="293" t="s">
        <v>247</v>
      </c>
      <c r="E11" s="163" t="s">
        <v>21</v>
      </c>
      <c r="F11" s="295" t="str">
        <f>VLOOKUP($E11,'BDEW-Standard'!$B$3:$M$158,F$9,0)</f>
        <v>N13</v>
      </c>
      <c r="H11" s="166">
        <f>ROUND(VLOOKUP($E11,'BDEW-Standard'!$B$3:$M$158,H$9,0),7)</f>
        <v>3.0553842000000002</v>
      </c>
      <c r="I11" s="166">
        <f>ROUND(VLOOKUP($E11,'BDEW-Standard'!$B$3:$M$158,I$9,0),7)</f>
        <v>-37.183637400000002</v>
      </c>
      <c r="J11" s="166">
        <f>ROUND(VLOOKUP($E11,'BDEW-Standard'!$B$3:$M$158,J$9,0),7)</f>
        <v>5.6810824999999996</v>
      </c>
      <c r="K11" s="166">
        <f>ROUND(VLOOKUP($E11,'BDEW-Standard'!$B$3:$M$158,K$9,0),7)</f>
        <v>8.2196599999999995E-2</v>
      </c>
      <c r="L11" s="335">
        <f>ROUND(VLOOKUP($E11,'BDEW-Standard'!$B$3:$M$158,L$9,0),1)</f>
        <v>40</v>
      </c>
      <c r="M11" s="166">
        <f>ROUND(VLOOKUP($E11,'BDEW-Standard'!$B$3:$M$158,M$9,0),7)</f>
        <v>0</v>
      </c>
      <c r="N11" s="166">
        <f>ROUND(VLOOKUP($E11,'BDEW-Standard'!$B$3:$M$158,N$9,0),7)</f>
        <v>0</v>
      </c>
      <c r="O11" s="166">
        <f>ROUND(VLOOKUP($E11,'BDEW-Standard'!$B$3:$M$158,O$9,0),7)</f>
        <v>0</v>
      </c>
      <c r="P11" s="166">
        <f>ROUND(VLOOKUP($E11,'BDEW-Standard'!$B$3:$M$158,P$9,0),7)</f>
        <v>0</v>
      </c>
      <c r="Q11" s="336">
        <f>($H11/(1+($I11/($Q$9-$L11))^$J11)+$K11)+MAX($M11*$Q$9+$N11,$O11*$Q$9+$P11)</f>
        <v>0.99521022916399493</v>
      </c>
      <c r="R11" s="167">
        <f>ROUND(VLOOKUP(MID($E11,4,3),'Wochentag F(WT)'!$B$7:$J$22,R$9,0),4)</f>
        <v>1</v>
      </c>
      <c r="S11" s="167">
        <f>ROUND(VLOOKUP(MID($E11,4,3),'Wochentag F(WT)'!$B$7:$J$22,S$9,0),4)</f>
        <v>1</v>
      </c>
      <c r="T11" s="167">
        <f>ROUND(VLOOKUP(MID($E11,4,3),'Wochentag F(WT)'!$B$7:$J$22,T$9,0),4)</f>
        <v>1</v>
      </c>
      <c r="U11" s="167">
        <f>ROUND(VLOOKUP(MID($E11,4,3),'Wochentag F(WT)'!$B$7:$J$22,U$9,0),4)</f>
        <v>1</v>
      </c>
      <c r="V11" s="167">
        <f>ROUND(VLOOKUP(MID($E11,4,3),'Wochentag F(WT)'!$B$7:$J$22,V$9,0),4)</f>
        <v>1</v>
      </c>
      <c r="W11" s="167">
        <f>ROUND(VLOOKUP(MID($E11,4,3),'Wochentag F(WT)'!$B$7:$J$22,W$9,0),4)</f>
        <v>1</v>
      </c>
      <c r="X11" s="168">
        <f>7-SUM(R11:W11)</f>
        <v>1</v>
      </c>
      <c r="Y11" s="291">
        <v>365.12299999999999</v>
      </c>
    </row>
    <row r="12" spans="2:26">
      <c r="B12" s="140">
        <v>1</v>
      </c>
      <c r="C12" s="141" t="str">
        <f t="shared" ref="C12:C41" si="0">$D$6</f>
        <v>Stadtwerke Herford GmbH</v>
      </c>
      <c r="D12" s="62" t="s">
        <v>247</v>
      </c>
      <c r="E12" s="164" t="s">
        <v>21</v>
      </c>
      <c r="F12" s="296" t="str">
        <f>VLOOKUP($E12,'BDEW-Standard'!$B$3:$M$158,F$9,0)</f>
        <v>N13</v>
      </c>
      <c r="H12" s="273">
        <f>ROUND(VLOOKUP($E12,'BDEW-Standard'!$B$3:$M$158,H$9,0),7)</f>
        <v>3.0553842000000002</v>
      </c>
      <c r="I12" s="273">
        <f>ROUND(VLOOKUP($E12,'BDEW-Standard'!$B$3:$M$158,I$9,0),7)</f>
        <v>-37.183637400000002</v>
      </c>
      <c r="J12" s="273">
        <f>ROUND(VLOOKUP($E12,'BDEW-Standard'!$B$3:$M$158,J$9,0),7)</f>
        <v>5.6810824999999996</v>
      </c>
      <c r="K12" s="273">
        <f>ROUND(VLOOKUP($E12,'BDEW-Standard'!$B$3:$M$158,K$9,0),7)</f>
        <v>8.2196599999999995E-2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18" si="1">($H12/(1+($I12/($Q$9-$L12))^$J12)+$K12)+MAX($M12*$Q$9+$N12,$O12*$Q$9+$P12)</f>
        <v>0.99521022916399493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Stadtwerke Herford GmbH</v>
      </c>
      <c r="D13" s="62" t="s">
        <v>247</v>
      </c>
      <c r="E13" s="164" t="s">
        <v>29</v>
      </c>
      <c r="F13" s="296" t="str">
        <f>VLOOKUP($E13,'BDEW-Standard'!$B$3:$M$158,F$9,0)</f>
        <v>N23</v>
      </c>
      <c r="H13" s="273">
        <f>ROUND(VLOOKUP($E13,'BDEW-Standard'!$B$3:$M$158,H$9,0),7)</f>
        <v>2.3987552000000001</v>
      </c>
      <c r="I13" s="273">
        <f>ROUND(VLOOKUP($E13,'BDEW-Standard'!$B$3:$M$158,I$9,0),7)</f>
        <v>-34.723487800000001</v>
      </c>
      <c r="J13" s="273">
        <f>ROUND(VLOOKUP($E13,'BDEW-Standard'!$B$3:$M$158,J$9,0),7)</f>
        <v>5.7996445999999997</v>
      </c>
      <c r="K13" s="273">
        <f>ROUND(VLOOKUP($E13,'BDEW-Standard'!$B$3:$M$158,K$9,0),7)</f>
        <v>0.1016748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1.0221652961614969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6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Stadtwerke Herford GmbH</v>
      </c>
      <c r="D14" s="62" t="s">
        <v>247</v>
      </c>
      <c r="E14" s="164" t="s">
        <v>4</v>
      </c>
      <c r="F14" s="296" t="str">
        <f>VLOOKUP($E14,'BDEW-Standard'!$B$3:$M$158,F$9,0)</f>
        <v>HK3</v>
      </c>
      <c r="H14" s="273">
        <f>ROUND(VLOOKUP($E14,'BDEW-Standard'!$B$3:$M$158,H$9,0),7)</f>
        <v>0.40409319999999999</v>
      </c>
      <c r="I14" s="273">
        <f>ROUND(VLOOKUP($E14,'BDEW-Standard'!$B$3:$M$158,I$9,0),7)</f>
        <v>-24.439296800000001</v>
      </c>
      <c r="J14" s="273">
        <f>ROUND(VLOOKUP($E14,'BDEW-Standard'!$B$3:$M$158,J$9,0),7)</f>
        <v>6.5718174999999999</v>
      </c>
      <c r="K14" s="273">
        <f>ROUND(VLOOKUP($E14,'BDEW-Standard'!$B$3:$M$158,K$9,0),7)</f>
        <v>0.71077100000000004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1.0561214000512988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Stadtwerke Herford GmbH</v>
      </c>
      <c r="D15" s="62" t="s">
        <v>247</v>
      </c>
      <c r="E15" s="164" t="s">
        <v>666</v>
      </c>
      <c r="F15" s="296" t="str">
        <f>VLOOKUP($E15,'BDEW-Standard'!$B$3:$M$158,F$9,0)</f>
        <v>MF3</v>
      </c>
      <c r="H15" s="273">
        <f>ROUND(VLOOKUP($E15,'BDEW-Standard'!$B$3:$M$158,H$9,0),7)</f>
        <v>2.3877617999999998</v>
      </c>
      <c r="I15" s="273">
        <f>ROUND(VLOOKUP($E15,'BDEW-Standard'!$B$3:$M$158,I$9,0),7)</f>
        <v>-34.721360500000003</v>
      </c>
      <c r="J15" s="273">
        <f>ROUND(VLOOKUP($E15,'BDEW-Standard'!$B$3:$M$158,J$9,0),7)</f>
        <v>5.8164303999999998</v>
      </c>
      <c r="K15" s="273">
        <f>ROUND(VLOOKUP($E15,'BDEW-Standard'!$B$3:$M$158,K$9,0),7)</f>
        <v>0.12081939999999999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1.0365184142102302</v>
      </c>
      <c r="R15" s="274">
        <f>ROUND(VLOOKUP(MID($E15,4,3),'Wochentag F(WT)'!$B$7:$J$22,R$9,0),4)</f>
        <v>1.0354000000000001</v>
      </c>
      <c r="S15" s="274">
        <f>ROUND(VLOOKUP(MID($E15,4,3),'Wochentag F(WT)'!$B$7:$J$22,S$9,0),4)</f>
        <v>1.0523</v>
      </c>
      <c r="T15" s="274">
        <f>ROUND(VLOOKUP(MID($E15,4,3),'Wochentag F(WT)'!$B$7:$J$22,T$9,0),4)</f>
        <v>1.0448999999999999</v>
      </c>
      <c r="U15" s="274">
        <f>ROUND(VLOOKUP(MID($E15,4,3),'Wochentag F(WT)'!$B$7:$J$22,U$9,0),4)</f>
        <v>1.0494000000000001</v>
      </c>
      <c r="V15" s="274">
        <f>ROUND(VLOOKUP(MID($E15,4,3),'Wochentag F(WT)'!$B$7:$J$22,V$9,0),4)</f>
        <v>0.98850000000000005</v>
      </c>
      <c r="W15" s="274">
        <f>ROUND(VLOOKUP(MID($E15,4,3),'Wochentag F(WT)'!$B$7:$J$22,W$9,0),4)</f>
        <v>0.88600000000000001</v>
      </c>
      <c r="X15" s="275">
        <f t="shared" si="2"/>
        <v>0.94349999999999934</v>
      </c>
      <c r="Y15" s="292"/>
      <c r="Z15" s="210"/>
    </row>
    <row r="16" spans="2:26" s="142" customFormat="1">
      <c r="B16" s="143">
        <v>5</v>
      </c>
      <c r="C16" s="144" t="str">
        <f t="shared" si="0"/>
        <v>Stadtwerke Herford GmbH</v>
      </c>
      <c r="D16" s="62" t="s">
        <v>247</v>
      </c>
      <c r="E16" s="164" t="s">
        <v>667</v>
      </c>
      <c r="F16" s="296" t="str">
        <f>VLOOKUP($E16,'BDEW-Standard'!$B$3:$M$158,F$9,0)</f>
        <v>HA3</v>
      </c>
      <c r="H16" s="273">
        <f>ROUND(VLOOKUP($E16,'BDEW-Standard'!$B$3:$M$158,H$9,0),7)</f>
        <v>3.5811213999999998</v>
      </c>
      <c r="I16" s="273">
        <f>ROUND(VLOOKUP($E16,'BDEW-Standard'!$B$3:$M$158,I$9,0),7)</f>
        <v>-36.965006500000001</v>
      </c>
      <c r="J16" s="273">
        <f>ROUND(VLOOKUP($E16,'BDEW-Standard'!$B$3:$M$158,J$9,0),7)</f>
        <v>7.2256947</v>
      </c>
      <c r="K16" s="273">
        <f>ROUND(VLOOKUP($E16,'BDEW-Standard'!$B$3:$M$158,K$9,0),7)</f>
        <v>4.4841600000000002E-2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0.97852945357176691</v>
      </c>
      <c r="R16" s="274">
        <f>ROUND(VLOOKUP(MID($E16,4,3),'Wochentag F(WT)'!$B$7:$J$22,R$9,0),4)</f>
        <v>1.0358000000000001</v>
      </c>
      <c r="S16" s="274">
        <f>ROUND(VLOOKUP(MID($E16,4,3),'Wochentag F(WT)'!$B$7:$J$22,S$9,0),4)</f>
        <v>1.0232000000000001</v>
      </c>
      <c r="T16" s="274">
        <f>ROUND(VLOOKUP(MID($E16,4,3),'Wochentag F(WT)'!$B$7:$J$22,T$9,0),4)</f>
        <v>1.0251999999999999</v>
      </c>
      <c r="U16" s="274">
        <f>ROUND(VLOOKUP(MID($E16,4,3),'Wochentag F(WT)'!$B$7:$J$22,U$9,0),4)</f>
        <v>1.0295000000000001</v>
      </c>
      <c r="V16" s="274">
        <f>ROUND(VLOOKUP(MID($E16,4,3),'Wochentag F(WT)'!$B$7:$J$22,V$9,0),4)</f>
        <v>1.0253000000000001</v>
      </c>
      <c r="W16" s="274">
        <f>ROUND(VLOOKUP(MID($E16,4,3),'Wochentag F(WT)'!$B$7:$J$22,W$9,0),4)</f>
        <v>0.96750000000000003</v>
      </c>
      <c r="X16" s="275">
        <f t="shared" si="2"/>
        <v>0.89350000000000041</v>
      </c>
      <c r="Y16" s="292"/>
      <c r="Z16" s="210"/>
    </row>
    <row r="17" spans="2:26" s="142" customFormat="1">
      <c r="B17" s="143">
        <v>6</v>
      </c>
      <c r="C17" s="144" t="str">
        <f t="shared" si="0"/>
        <v>Stadtwerke Herford GmbH</v>
      </c>
      <c r="D17" s="62" t="s">
        <v>247</v>
      </c>
      <c r="E17" s="164" t="s">
        <v>668</v>
      </c>
      <c r="F17" s="296" t="str">
        <f>VLOOKUP($E17,'BDEW-Standard'!$B$3:$M$158,F$9,0)</f>
        <v>KO3</v>
      </c>
      <c r="H17" s="273">
        <f>ROUND(VLOOKUP($E17,'BDEW-Standard'!$B$3:$M$158,H$9,0),7)</f>
        <v>2.7172288</v>
      </c>
      <c r="I17" s="273">
        <f>ROUND(VLOOKUP($E17,'BDEW-Standard'!$B$3:$M$158,I$9,0),7)</f>
        <v>-35.141256300000002</v>
      </c>
      <c r="J17" s="273">
        <f>ROUND(VLOOKUP($E17,'BDEW-Standard'!$B$3:$M$158,J$9,0),7)</f>
        <v>7.1303394999999998</v>
      </c>
      <c r="K17" s="273">
        <f>ROUND(VLOOKUP($E17,'BDEW-Standard'!$B$3:$M$158,K$9,0),7)</f>
        <v>0.14184720000000001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1.0630299199876638</v>
      </c>
      <c r="R17" s="274">
        <f>ROUND(VLOOKUP(MID($E17,4,3),'Wochentag F(WT)'!$B$7:$J$22,R$9,0),4)</f>
        <v>1.0354000000000001</v>
      </c>
      <c r="S17" s="274">
        <f>ROUND(VLOOKUP(MID($E17,4,3),'Wochentag F(WT)'!$B$7:$J$22,S$9,0),4)</f>
        <v>1.0523</v>
      </c>
      <c r="T17" s="274">
        <f>ROUND(VLOOKUP(MID($E17,4,3),'Wochentag F(WT)'!$B$7:$J$22,T$9,0),4)</f>
        <v>1.0448999999999999</v>
      </c>
      <c r="U17" s="274">
        <f>ROUND(VLOOKUP(MID($E17,4,3),'Wochentag F(WT)'!$B$7:$J$22,U$9,0),4)</f>
        <v>1.0494000000000001</v>
      </c>
      <c r="V17" s="274">
        <f>ROUND(VLOOKUP(MID($E17,4,3),'Wochentag F(WT)'!$B$7:$J$22,V$9,0),4)</f>
        <v>0.98850000000000005</v>
      </c>
      <c r="W17" s="274">
        <f>ROUND(VLOOKUP(MID($E17,4,3),'Wochentag F(WT)'!$B$7:$J$22,W$9,0),4)</f>
        <v>0.88600000000000001</v>
      </c>
      <c r="X17" s="275">
        <f t="shared" si="2"/>
        <v>0.94349999999999934</v>
      </c>
      <c r="Y17" s="292"/>
      <c r="Z17" s="210"/>
    </row>
    <row r="18" spans="2:26" s="142" customFormat="1">
      <c r="B18" s="143">
        <v>7</v>
      </c>
      <c r="C18" s="144" t="str">
        <f t="shared" si="0"/>
        <v>Stadtwerke Herford GmbH</v>
      </c>
      <c r="D18" s="62" t="s">
        <v>247</v>
      </c>
      <c r="E18" s="164" t="s">
        <v>669</v>
      </c>
      <c r="F18" s="296" t="str">
        <f>VLOOKUP($E18,'BDEW-Standard'!$B$3:$M$158,F$9,0)</f>
        <v>BD3</v>
      </c>
      <c r="H18" s="273">
        <f>ROUND(VLOOKUP($E18,'BDEW-Standard'!$B$3:$M$158,H$9,0),7)</f>
        <v>2.9177027</v>
      </c>
      <c r="I18" s="273">
        <f>ROUND(VLOOKUP($E18,'BDEW-Standard'!$B$3:$M$158,I$9,0),7)</f>
        <v>-36.179411700000003</v>
      </c>
      <c r="J18" s="273">
        <f>ROUND(VLOOKUP($E18,'BDEW-Standard'!$B$3:$M$158,J$9,0),7)</f>
        <v>5.9265162</v>
      </c>
      <c r="K18" s="273">
        <f>ROUND(VLOOKUP($E18,'BDEW-Standard'!$B$3:$M$158,K$9,0),7)</f>
        <v>0.11519119999999999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1.0656106174494469</v>
      </c>
      <c r="R18" s="274">
        <f>ROUND(VLOOKUP(MID($E18,4,3),'Wochentag F(WT)'!$B$7:$J$22,R$9,0),4)</f>
        <v>1.1052</v>
      </c>
      <c r="S18" s="274">
        <f>ROUND(VLOOKUP(MID($E18,4,3),'Wochentag F(WT)'!$B$7:$J$22,S$9,0),4)</f>
        <v>1.0857000000000001</v>
      </c>
      <c r="T18" s="274">
        <f>ROUND(VLOOKUP(MID($E18,4,3),'Wochentag F(WT)'!$B$7:$J$22,T$9,0),4)</f>
        <v>1.0378000000000001</v>
      </c>
      <c r="U18" s="274">
        <f>ROUND(VLOOKUP(MID($E18,4,3),'Wochentag F(WT)'!$B$7:$J$22,U$9,0),4)</f>
        <v>1.0622</v>
      </c>
      <c r="V18" s="274">
        <f>ROUND(VLOOKUP(MID($E18,4,3),'Wochentag F(WT)'!$B$7:$J$22,V$9,0),4)</f>
        <v>1.0266</v>
      </c>
      <c r="W18" s="274">
        <f>ROUND(VLOOKUP(MID($E18,4,3),'Wochentag F(WT)'!$B$7:$J$22,W$9,0),4)</f>
        <v>0.76290000000000002</v>
      </c>
      <c r="X18" s="275">
        <f t="shared" si="2"/>
        <v>0.91959999999999997</v>
      </c>
      <c r="Y18" s="292"/>
      <c r="Z18" s="210"/>
    </row>
    <row r="19" spans="2:26" s="142" customFormat="1">
      <c r="B19" s="143">
        <v>8</v>
      </c>
      <c r="C19" s="144" t="str">
        <f t="shared" si="0"/>
        <v>Stadtwerke Herford GmbH</v>
      </c>
      <c r="D19" s="62"/>
      <c r="E19" s="164"/>
      <c r="F19" s="296"/>
      <c r="H19" s="273"/>
      <c r="I19" s="273"/>
      <c r="J19" s="273"/>
      <c r="K19" s="273"/>
      <c r="L19" s="337"/>
      <c r="M19" s="273"/>
      <c r="N19" s="273"/>
      <c r="O19" s="273"/>
      <c r="P19" s="273"/>
      <c r="Q19" s="338"/>
      <c r="R19" s="274"/>
      <c r="S19" s="274"/>
      <c r="T19" s="274"/>
      <c r="U19" s="274"/>
      <c r="V19" s="274"/>
      <c r="W19" s="274"/>
      <c r="X19" s="275">
        <f t="shared" si="2"/>
        <v>7</v>
      </c>
      <c r="Y19" s="292"/>
      <c r="Z19" s="210"/>
    </row>
    <row r="20" spans="2:26" s="142" customFormat="1">
      <c r="B20" s="143">
        <v>9</v>
      </c>
      <c r="C20" s="144" t="str">
        <f t="shared" si="0"/>
        <v>Stadtwerke Herford GmbH</v>
      </c>
      <c r="D20" s="62"/>
      <c r="E20" s="164"/>
      <c r="F20" s="296"/>
      <c r="H20" s="273"/>
      <c r="I20" s="273"/>
      <c r="J20" s="273"/>
      <c r="K20" s="273"/>
      <c r="L20" s="337"/>
      <c r="M20" s="273"/>
      <c r="N20" s="273"/>
      <c r="O20" s="273"/>
      <c r="P20" s="273"/>
      <c r="Q20" s="338"/>
      <c r="R20" s="274"/>
      <c r="S20" s="274"/>
      <c r="T20" s="274"/>
      <c r="U20" s="274"/>
      <c r="V20" s="274"/>
      <c r="W20" s="274"/>
      <c r="X20" s="275">
        <f t="shared" si="2"/>
        <v>7</v>
      </c>
      <c r="Y20" s="292"/>
      <c r="Z20" s="210"/>
    </row>
    <row r="21" spans="2:26" s="142" customFormat="1">
      <c r="B21" s="143">
        <v>10</v>
      </c>
      <c r="C21" s="144" t="str">
        <f t="shared" si="0"/>
        <v>Stadtwerke Herford GmbH</v>
      </c>
      <c r="D21" s="62"/>
      <c r="E21" s="164"/>
      <c r="F21" s="296"/>
      <c r="H21" s="273"/>
      <c r="I21" s="273"/>
      <c r="J21" s="273"/>
      <c r="K21" s="273"/>
      <c r="L21" s="337"/>
      <c r="M21" s="273"/>
      <c r="N21" s="273"/>
      <c r="O21" s="273"/>
      <c r="P21" s="273"/>
      <c r="Q21" s="338"/>
      <c r="R21" s="274"/>
      <c r="S21" s="274"/>
      <c r="T21" s="274"/>
      <c r="U21" s="274"/>
      <c r="V21" s="274"/>
      <c r="W21" s="274"/>
      <c r="X21" s="275">
        <f t="shared" si="2"/>
        <v>7</v>
      </c>
      <c r="Y21" s="292"/>
      <c r="Z21" s="210"/>
    </row>
    <row r="22" spans="2:26" s="142" customFormat="1">
      <c r="B22" s="143">
        <v>11</v>
      </c>
      <c r="C22" s="144" t="str">
        <f t="shared" si="0"/>
        <v>Stadtwerke Herford GmbH</v>
      </c>
      <c r="D22" s="62"/>
      <c r="E22" s="164"/>
      <c r="F22" s="296"/>
      <c r="H22" s="273"/>
      <c r="I22" s="273"/>
      <c r="J22" s="273"/>
      <c r="K22" s="273"/>
      <c r="L22" s="337"/>
      <c r="M22" s="273"/>
      <c r="N22" s="273"/>
      <c r="O22" s="273"/>
      <c r="P22" s="273"/>
      <c r="Q22" s="338"/>
      <c r="R22" s="274"/>
      <c r="S22" s="274"/>
      <c r="T22" s="274"/>
      <c r="U22" s="274"/>
      <c r="V22" s="274"/>
      <c r="W22" s="274"/>
      <c r="X22" s="275">
        <f t="shared" si="2"/>
        <v>7</v>
      </c>
      <c r="Y22" s="292"/>
      <c r="Z22" s="210"/>
    </row>
    <row r="23" spans="2:26" s="142" customFormat="1">
      <c r="B23" s="143">
        <v>12</v>
      </c>
      <c r="C23" s="144" t="str">
        <f t="shared" si="0"/>
        <v>Stadtwerke Herford GmbH</v>
      </c>
      <c r="D23" s="62"/>
      <c r="E23" s="164"/>
      <c r="F23" s="296"/>
      <c r="H23" s="273"/>
      <c r="I23" s="273"/>
      <c r="J23" s="273"/>
      <c r="K23" s="273"/>
      <c r="L23" s="337"/>
      <c r="M23" s="273"/>
      <c r="N23" s="273"/>
      <c r="O23" s="273"/>
      <c r="P23" s="273"/>
      <c r="Q23" s="338"/>
      <c r="R23" s="274"/>
      <c r="S23" s="274"/>
      <c r="T23" s="274"/>
      <c r="U23" s="274"/>
      <c r="V23" s="274"/>
      <c r="W23" s="274"/>
      <c r="X23" s="275">
        <f t="shared" si="2"/>
        <v>7</v>
      </c>
      <c r="Y23" s="292"/>
      <c r="Z23" s="210"/>
    </row>
    <row r="24" spans="2:26" s="142" customFormat="1">
      <c r="B24" s="143">
        <v>13</v>
      </c>
      <c r="C24" s="144" t="str">
        <f t="shared" si="0"/>
        <v>Stadtwerke Herford GmbH</v>
      </c>
      <c r="D24" s="62"/>
      <c r="E24" s="164"/>
      <c r="F24" s="296"/>
      <c r="H24" s="273"/>
      <c r="I24" s="273"/>
      <c r="J24" s="273"/>
      <c r="K24" s="273"/>
      <c r="L24" s="337"/>
      <c r="M24" s="273"/>
      <c r="N24" s="273"/>
      <c r="O24" s="273"/>
      <c r="P24" s="273"/>
      <c r="Q24" s="338"/>
      <c r="R24" s="274"/>
      <c r="S24" s="274"/>
      <c r="T24" s="274"/>
      <c r="U24" s="274"/>
      <c r="V24" s="274"/>
      <c r="W24" s="274"/>
      <c r="X24" s="275">
        <f t="shared" si="2"/>
        <v>7</v>
      </c>
      <c r="Y24" s="292"/>
      <c r="Z24" s="210"/>
    </row>
    <row r="25" spans="2:26" s="142" customFormat="1">
      <c r="B25" s="143">
        <v>14</v>
      </c>
      <c r="C25" s="144" t="str">
        <f t="shared" si="0"/>
        <v>Stadtwerke Herford GmbH</v>
      </c>
      <c r="D25" s="62"/>
      <c r="E25" s="164"/>
      <c r="F25" s="296"/>
      <c r="H25" s="273"/>
      <c r="I25" s="273"/>
      <c r="J25" s="273"/>
      <c r="K25" s="273"/>
      <c r="L25" s="337"/>
      <c r="M25" s="273"/>
      <c r="N25" s="273"/>
      <c r="O25" s="273"/>
      <c r="P25" s="273"/>
      <c r="Q25" s="338"/>
      <c r="R25" s="274"/>
      <c r="S25" s="274"/>
      <c r="T25" s="274"/>
      <c r="U25" s="274"/>
      <c r="V25" s="274"/>
      <c r="W25" s="274"/>
      <c r="X25" s="275">
        <f t="shared" si="2"/>
        <v>7</v>
      </c>
      <c r="Y25" s="292"/>
      <c r="Z25" s="210"/>
    </row>
    <row r="26" spans="2:26" s="142" customFormat="1">
      <c r="B26" s="143">
        <v>15</v>
      </c>
      <c r="C26" s="144" t="str">
        <f t="shared" si="0"/>
        <v>Stadtwerke Herford GmbH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>
        <f t="shared" si="2"/>
        <v>7</v>
      </c>
      <c r="Y26" s="292"/>
      <c r="Z26" s="210"/>
    </row>
    <row r="27" spans="2:26" s="142" customFormat="1">
      <c r="B27" s="143">
        <v>16</v>
      </c>
      <c r="C27" s="144" t="str">
        <f t="shared" si="0"/>
        <v>Stadtwerke Herford GmbH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Stadtwerke Herford GmbH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Stadtwerke Herford GmbH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Stadtwerke Herford GmbH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Stadtwerke Herford GmbH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Stadtwerke Herford GmbH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Stadtwerke Herford GmbH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Stadtwerke Herford GmbH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Stadtwerke Herford GmbH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Stadtwerke Herford GmbH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Stadtwerke Herford GmbH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Stadtwerke Herford GmbH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Stadtwerke Herford GmbH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Stadtwerke Herford GmbH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Stadtwerke Herford GmbH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18 F12:P18 X19:X26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B15" sqref="B15"/>
    </sheetView>
  </sheetViews>
  <sheetFormatPr baseColWidth="10" defaultColWidth="0" defaultRowHeight="13.2" zeroHeight="1"/>
  <cols>
    <col min="1" max="1" width="2.88671875" style="75" customWidth="1"/>
    <col min="2" max="2" width="15.109375" style="75" customWidth="1"/>
    <col min="3" max="3" width="14.6640625" style="75" customWidth="1"/>
    <col min="4" max="4" width="5.88671875" style="75" hidden="1" customWidth="1"/>
    <col min="5" max="5" width="5.109375" style="75" customWidth="1"/>
    <col min="6" max="12" width="12.6640625" style="75" customWidth="1"/>
    <col min="13" max="30" width="5.6640625" style="75" customWidth="1"/>
    <col min="31" max="31" width="11.44140625" style="75" customWidth="1"/>
    <col min="32" max="16384" width="11.44140625" style="75" hidden="1"/>
  </cols>
  <sheetData>
    <row r="1" spans="2:30" ht="75" customHeight="1"/>
    <row r="2" spans="2:30" ht="22.8">
      <c r="B2" s="84" t="s">
        <v>445</v>
      </c>
    </row>
    <row r="3" spans="2:30" ht="15" customHeight="1">
      <c r="B3" s="84"/>
    </row>
    <row r="4" spans="2:30" ht="15" customHeight="1">
      <c r="B4" s="85" t="s">
        <v>444</v>
      </c>
      <c r="C4" s="63" t="str">
        <f>Netzbetreiber!$D$9</f>
        <v>Stadtwerke Herford GmbH</v>
      </c>
      <c r="D4" s="76"/>
      <c r="G4" s="76"/>
      <c r="I4" s="76"/>
      <c r="J4" s="77"/>
      <c r="M4" s="86" t="s">
        <v>534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4">
      <c r="B5" s="87" t="s">
        <v>443</v>
      </c>
      <c r="C5" s="64" t="str">
        <f>Netzbetreiber!$D$28</f>
        <v>Stadtwerke Herford GmbH</v>
      </c>
      <c r="D5" s="37"/>
      <c r="E5" s="76"/>
      <c r="F5" s="76"/>
      <c r="G5" s="76"/>
      <c r="I5" s="76"/>
      <c r="J5" s="76"/>
      <c r="K5" s="76"/>
      <c r="L5" s="76"/>
      <c r="M5" s="88" t="s">
        <v>504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4">
      <c r="B6" s="85" t="s">
        <v>441</v>
      </c>
      <c r="C6" s="63" t="str">
        <f>Netzbetreiber!$D$11</f>
        <v>9870093900009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" thickBot="1">
      <c r="B7" s="85" t="s">
        <v>133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457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0" t="s">
        <v>578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397</v>
      </c>
      <c r="G10" s="348"/>
      <c r="H10" s="348"/>
      <c r="I10" s="348"/>
      <c r="J10" s="348"/>
      <c r="K10" s="348"/>
      <c r="L10" s="349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427</v>
      </c>
    </row>
    <row r="11" spans="2:30" ht="1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4">
      <c r="B12" s="109" t="s">
        <v>398</v>
      </c>
      <c r="C12" s="110"/>
      <c r="D12" s="111">
        <v>4</v>
      </c>
      <c r="E12" s="303">
        <f>MIN(SUMPRODUCT($M$11:$AD$11,M12:AD12),1)</f>
        <v>1</v>
      </c>
      <c r="F12" s="300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4.4">
      <c r="B13" s="115" t="s">
        <v>399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4.4">
      <c r="B14" s="115" t="s">
        <v>400</v>
      </c>
      <c r="C14" s="116"/>
      <c r="D14" s="111">
        <v>6</v>
      </c>
      <c r="E14" s="304">
        <f t="shared" si="0"/>
        <v>0</v>
      </c>
      <c r="F14" s="301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4.4">
      <c r="B15" s="115" t="s">
        <v>651</v>
      </c>
      <c r="C15" s="116"/>
      <c r="D15" s="111">
        <v>7</v>
      </c>
      <c r="E15" s="304">
        <f t="shared" si="0"/>
        <v>0</v>
      </c>
      <c r="F15" s="301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4.4">
      <c r="B16" s="120" t="s">
        <v>413</v>
      </c>
      <c r="C16" s="116"/>
      <c r="D16" s="111">
        <v>8</v>
      </c>
      <c r="E16" s="304">
        <f t="shared" si="0"/>
        <v>1</v>
      </c>
      <c r="F16" s="301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4.4">
      <c r="B17" s="120" t="s">
        <v>414</v>
      </c>
      <c r="C17" s="116"/>
      <c r="D17" s="111">
        <v>9</v>
      </c>
      <c r="E17" s="304">
        <f t="shared" si="0"/>
        <v>1</v>
      </c>
      <c r="F17" s="301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4.4">
      <c r="B18" s="120" t="s">
        <v>415</v>
      </c>
      <c r="C18" s="116"/>
      <c r="D18" s="111">
        <v>10</v>
      </c>
      <c r="E18" s="304">
        <f t="shared" si="0"/>
        <v>1</v>
      </c>
      <c r="F18" s="301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4.4">
      <c r="B19" s="120" t="s">
        <v>402</v>
      </c>
      <c r="C19" s="116"/>
      <c r="D19" s="111">
        <v>11</v>
      </c>
      <c r="E19" s="304">
        <f t="shared" si="0"/>
        <v>1</v>
      </c>
      <c r="F19" s="301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4.4">
      <c r="B20" s="120" t="s">
        <v>644</v>
      </c>
      <c r="C20" s="116"/>
      <c r="D20" s="111">
        <v>12</v>
      </c>
      <c r="E20" s="304">
        <f t="shared" si="0"/>
        <v>1</v>
      </c>
      <c r="F20" s="301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4.4">
      <c r="B21" s="120" t="s">
        <v>416</v>
      </c>
      <c r="C21" s="116"/>
      <c r="D21" s="111">
        <v>13</v>
      </c>
      <c r="E21" s="304">
        <f t="shared" si="0"/>
        <v>1</v>
      </c>
      <c r="F21" s="301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4.4">
      <c r="B22" s="120" t="s">
        <v>417</v>
      </c>
      <c r="C22" s="116"/>
      <c r="D22" s="111">
        <v>14</v>
      </c>
      <c r="E22" s="304">
        <f t="shared" si="0"/>
        <v>1</v>
      </c>
      <c r="F22" s="301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4.4">
      <c r="B23" s="115" t="s">
        <v>650</v>
      </c>
      <c r="C23" s="116"/>
      <c r="D23" s="111">
        <v>15</v>
      </c>
      <c r="E23" s="304">
        <f t="shared" si="0"/>
        <v>0</v>
      </c>
      <c r="F23" s="301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4.4">
      <c r="B24" s="115" t="s">
        <v>403</v>
      </c>
      <c r="C24" s="116"/>
      <c r="D24" s="111">
        <v>16</v>
      </c>
      <c r="E24" s="304">
        <f t="shared" si="0"/>
        <v>0</v>
      </c>
      <c r="F24" s="301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4.4">
      <c r="B25" s="115" t="s">
        <v>404</v>
      </c>
      <c r="C25" s="116"/>
      <c r="D25" s="111">
        <v>17</v>
      </c>
      <c r="E25" s="304">
        <f t="shared" si="0"/>
        <v>0</v>
      </c>
      <c r="F25" s="301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4.4">
      <c r="B26" s="120" t="s">
        <v>405</v>
      </c>
      <c r="C26" s="116"/>
      <c r="D26" s="111">
        <v>18</v>
      </c>
      <c r="E26" s="304">
        <f t="shared" si="0"/>
        <v>1</v>
      </c>
      <c r="F26" s="301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4.4">
      <c r="B27" s="115" t="s">
        <v>406</v>
      </c>
      <c r="C27" s="116"/>
      <c r="D27" s="111">
        <v>19</v>
      </c>
      <c r="E27" s="304">
        <f t="shared" si="0"/>
        <v>0</v>
      </c>
      <c r="F27" s="301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4.4">
      <c r="B28" s="115" t="s">
        <v>407</v>
      </c>
      <c r="C28" s="116"/>
      <c r="D28" s="111">
        <v>20</v>
      </c>
      <c r="E28" s="304">
        <f t="shared" si="0"/>
        <v>0</v>
      </c>
      <c r="F28" s="301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4.4">
      <c r="B29" s="115" t="s">
        <v>408</v>
      </c>
      <c r="C29" s="116"/>
      <c r="D29" s="111">
        <v>21</v>
      </c>
      <c r="E29" s="304">
        <f t="shared" si="0"/>
        <v>0</v>
      </c>
      <c r="F29" s="301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4.4">
      <c r="B30" s="115" t="s">
        <v>409</v>
      </c>
      <c r="C30" s="116"/>
      <c r="D30" s="111">
        <v>22</v>
      </c>
      <c r="E30" s="304">
        <f t="shared" si="0"/>
        <v>0</v>
      </c>
      <c r="F30" s="301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4.4">
      <c r="B31" s="120" t="s">
        <v>410</v>
      </c>
      <c r="C31" s="116"/>
      <c r="D31" s="111">
        <v>23</v>
      </c>
      <c r="E31" s="304">
        <f t="shared" si="0"/>
        <v>1</v>
      </c>
      <c r="F31" s="301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4.4">
      <c r="B32" s="120" t="s">
        <v>411</v>
      </c>
      <c r="C32" s="116"/>
      <c r="D32" s="111">
        <v>24</v>
      </c>
      <c r="E32" s="304">
        <f t="shared" si="0"/>
        <v>1</v>
      </c>
      <c r="F32" s="301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" thickBot="1">
      <c r="B33" s="121" t="s">
        <v>412</v>
      </c>
      <c r="C33" s="122"/>
      <c r="D33" s="123">
        <v>25</v>
      </c>
      <c r="E33" s="305">
        <f t="shared" si="0"/>
        <v>0</v>
      </c>
      <c r="F33" s="302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ColWidth="11.44140625" defaultRowHeight="14.4"/>
  <cols>
    <col min="1" max="3" width="11.44140625" style="127"/>
    <col min="4" max="4" width="19.88671875" style="127" customWidth="1"/>
    <col min="5" max="9" width="16" style="127" customWidth="1"/>
    <col min="10" max="10" width="15.109375" style="127" customWidth="1"/>
    <col min="11" max="12" width="16" style="127" customWidth="1"/>
    <col min="13" max="13" width="15.33203125" style="127" customWidth="1"/>
    <col min="14" max="16384" width="11.44140625" style="127"/>
  </cols>
  <sheetData>
    <row r="1" spans="1:14">
      <c r="A1" s="211" t="s">
        <v>346</v>
      </c>
      <c r="B1" s="212">
        <v>42173</v>
      </c>
      <c r="D1" s="130" t="s">
        <v>453</v>
      </c>
      <c r="F1" s="213" t="s">
        <v>540</v>
      </c>
      <c r="N1" s="214"/>
    </row>
    <row r="2" spans="1:14" ht="26.4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647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ColWidth="11.44140625" defaultRowHeight="14.4"/>
  <cols>
    <col min="1" max="1" width="9.6640625" style="253" customWidth="1"/>
    <col min="2" max="2" width="7" style="254" customWidth="1"/>
    <col min="3" max="3" width="27.6640625" style="233" customWidth="1"/>
    <col min="4" max="10" width="8.88671875" style="233" customWidth="1"/>
    <col min="11" max="14" width="11.44140625" style="233" customWidth="1"/>
    <col min="15" max="15" width="12.33203125" style="127" customWidth="1"/>
    <col min="16" max="16" width="16.5546875" style="233" customWidth="1"/>
    <col min="17" max="16384" width="11.44140625" style="233"/>
  </cols>
  <sheetData>
    <row r="1" spans="1:16" s="232" customFormat="1">
      <c r="A1" s="130" t="s">
        <v>454</v>
      </c>
      <c r="B1" s="127"/>
      <c r="D1" s="213" t="s">
        <v>540</v>
      </c>
    </row>
    <row r="2" spans="1:16">
      <c r="A2" s="233"/>
      <c r="B2" s="232" t="s">
        <v>455</v>
      </c>
    </row>
    <row r="3" spans="1:16" ht="20.100000000000001" customHeight="1">
      <c r="A3" s="352" t="s">
        <v>248</v>
      </c>
      <c r="B3" s="234" t="s">
        <v>86</v>
      </c>
      <c r="C3" s="235"/>
      <c r="D3" s="354" t="s">
        <v>456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367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367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9.6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6.4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Horst, Olaf</cp:lastModifiedBy>
  <cp:lastPrinted>2015-03-20T22:59:10Z</cp:lastPrinted>
  <dcterms:created xsi:type="dcterms:W3CDTF">2015-01-15T05:25:41Z</dcterms:created>
  <dcterms:modified xsi:type="dcterms:W3CDTF">2015-10-05T12:42:45Z</dcterms:modified>
</cp:coreProperties>
</file>